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<sst xmlns="http://schemas.openxmlformats.org/spreadsheetml/2006/main" count="1561" uniqueCount="227">
  <si>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</si>
  <si>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</si>
  <si>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</si>
  <si>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</si>
  <si>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</si>
  <si>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</si>
  <si>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</si>
  <si>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</si>
  <si>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</si>
  <si>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</si>
  <si>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</si>
  <si>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</si>
  <si>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</si>
  <si>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</si>
  <si>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</si>
  <si>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</si>
  <si>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</si>
  <si>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</si>
  <si>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</si>
  <si>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</si>
  <si>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</si>
  <si>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</si>
  <si>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</si>
  <si>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</si>
  <si>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</si>
  <si>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</si>
  <si>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</si>
  <si>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</si>
  <si>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</si>
  <si>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</si>
  <si>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</si>
  <si>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</si>
  <si>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</si>
  <si>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</si>
  <si>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</si>
  <si>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</si>
  <si>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</si>
  <si>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</si>
  <si>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</si>
  <si>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</si>
  <si>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</si>
  <si>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</si>
  <si>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</si>
  <si>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</si>
  <si>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</si>
  <si>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</si>
  <si>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</si>
  <si>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</si>
  <si>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</si>
  <si>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</si>
  <si>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</si>
  <si>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</si>
  <si>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</si>
  <si>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</si>
  <si>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</si>
  <si>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</si>
  <si>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</si>
  <si>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</si>
  <si>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</si>
  <si>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</si>
  <si>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</si>
  <si>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</si>
  <si>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</si>
  <si>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</si>
  <si>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</si>
  <si>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</si>
  <si>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</si>
  <si>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</si>
  <si>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</si>
  <si>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</si>
  <si>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</si>
  <si>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</si>
  <si>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</si>
  <si>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</si>
  <si>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</si>
  <si>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</si>
  <si>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</si>
  <si>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</si>
  <si>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</si>
  <si>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</si>
  <si>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</si>
  <si>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</si>
  <si>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</si>
  <si>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</si>
  <si>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</si>
  <si>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</si>
  <si>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</si>
  <si>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</si>
  <si>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</si>
  <si>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</si>
  <si>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</si>
  <si>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</si>
  <si>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</si>
  <si>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</si>
  <si>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</si>
  <si>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</si>
  <si>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</si>
  <si>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</si>
  <si>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</si>
  <si>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</si>
  <si>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</si>
  <si>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</si>
  <si>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</si>
  <si>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</si>
  <si>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</si>
  <si>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</si>
  <si>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</si>
  <si>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</si>
  <si>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</si>
  <si>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</si>
  <si>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</si>
  <si>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</si>
  <si>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</si>
  <si>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</si>
  <si>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</si>
  <si>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</si>
  <si>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</si>
  <si>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</si>
  <si>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</si>
  <si>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</si>
  <si>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</si>
  <si>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</si>
  <si>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</si>
  <si>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</si>
  <si>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</si>
  <si>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</si>
  <si>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</si>
  <si>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</si>
  <si>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</si>
  <si>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</si>
  <si>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</si>
  <si>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</si>
  <si>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</si>
  <si>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</si>
  <si>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</si>
  <si>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</si>
  <si>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</si>
  <si>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</si>
  <si>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</si>
  <si>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</si>
  <si>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</si>
  <si>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</si>
  <si>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</si>
  <si>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</si>
  <si>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</si>
  <si>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</si>
  <si>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</si>
  <si>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</si>
  <si>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</si>
  <si>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</si>
  <si>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</si>
  <si>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</si>
  <si>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</si>
  <si>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</si>
  <si>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</si>
  <si>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</si>
  <si>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</si>
  <si>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</si>
  <si>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</si>
  <si>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</si>
  <si>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</si>
  <si>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</si>
  <si>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</si>
  <si>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</si>
  <si>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</si>
  <si>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</si>
  <si>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</si>
  <si>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</si>
  <si>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</si>
  <si>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</si>
  <si>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</si>
  <si>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</si>
  <si>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</si>
  <si>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</si>
  <si>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</si>
  <si>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</si>
  <si>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</si>
  <si>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</si>
  <si>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</si>
  <si>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</si>
  <si>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</si>
  <si>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</si>
  <si>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</si>
  <si>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</si>
  <si>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</si>
  <si>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</si>
  <si>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</si>
  <si>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</si>
  <si>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</si>
  <si>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</si>
  <si>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</si>
  <si>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</si>
  <si>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</si>
  <si>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</si>
  <si>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</si>
  <si>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</si>
  <si>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</si>
  <si>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</si>
  <si>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</si>
  <si>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</si>
  <si>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</si>
  <si>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</si>
  <si>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</si>
  <si>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</si>
  <si>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</si>
  <si>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</si>
  <si>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</si>
  <si>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</si>
  <si>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</si>
  <si>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</si>
  <si>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</si>
  <si>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</si>
  <si>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</si>
  <si>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</si>
  <si>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</si>
  <si>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</si>
  <si>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</si>
  <si>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</si>
  <si>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</si>
  <si>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</si>
  <si>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</si>
  <si>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</si>
  <si>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</si>
  <si>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</si>
  <si>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</si>
  <si>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</si>
  <si>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22.11.16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</si>
</sst>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16666.67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219</v>
      </c>
      <c r="O3" s="450" t="s">
        <v>220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217</v>
      </c>
      <c r="H4" s="435" t="s">
        <v>218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221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855332.0900000001</v>
      </c>
      <c r="G8" s="191">
        <f aca="true" t="shared" si="0" ref="G8:G37">F8-E8</f>
        <v>-29089.759999999893</v>
      </c>
      <c r="H8" s="192">
        <f>F8/E8*100</f>
        <v>96.71087275828837</v>
      </c>
      <c r="I8" s="193">
        <f>F8-D8</f>
        <v>-101739.35999999999</v>
      </c>
      <c r="J8" s="193">
        <f>F8/D8*100</f>
        <v>89.36972156049583</v>
      </c>
      <c r="K8" s="191">
        <v>608809.78</v>
      </c>
      <c r="L8" s="191">
        <f aca="true" t="shared" si="1" ref="L8:L51">F8-K8</f>
        <v>246522.31000000006</v>
      </c>
      <c r="M8" s="250">
        <f aca="true" t="shared" si="2" ref="M8:M28">F8/K8</f>
        <v>1.4049250161520073</v>
      </c>
      <c r="N8" s="191">
        <f>N9+N15+N18+N19+N20+N17</f>
        <v>88745.92000000001</v>
      </c>
      <c r="O8" s="191">
        <f>O9+O15+O18+O19+O20+O17</f>
        <v>57713.330000000016</v>
      </c>
      <c r="P8" s="191">
        <f>O8-N8</f>
        <v>-31032.589999999997</v>
      </c>
      <c r="Q8" s="191">
        <f>O8/N8*100</f>
        <v>65.03209386978016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463665.82</v>
      </c>
      <c r="G9" s="190">
        <f t="shared" si="0"/>
        <v>-18054.849999999977</v>
      </c>
      <c r="H9" s="197">
        <f>F9/E9*100</f>
        <v>96.25200845128776</v>
      </c>
      <c r="I9" s="198">
        <f>F9-D9</f>
        <v>-66923.18</v>
      </c>
      <c r="J9" s="198">
        <f>F9/D9*100</f>
        <v>87.38700199212573</v>
      </c>
      <c r="K9" s="412">
        <v>329224.03</v>
      </c>
      <c r="L9" s="199">
        <f t="shared" si="1"/>
        <v>134441.78999999998</v>
      </c>
      <c r="M9" s="251">
        <f t="shared" si="2"/>
        <v>1.4083595902765662</v>
      </c>
      <c r="N9" s="197">
        <f>E9-жовтень!E9</f>
        <v>52597</v>
      </c>
      <c r="O9" s="200">
        <f>F9-жовтень!F9</f>
        <v>32383.030000000028</v>
      </c>
      <c r="P9" s="201">
        <f>O9-N9</f>
        <v>-20213.969999999972</v>
      </c>
      <c r="Q9" s="198">
        <f>O9/N9*100</f>
        <v>61.56820731220417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408733.33</v>
      </c>
      <c r="G10" s="109">
        <f t="shared" si="0"/>
        <v>-28716.909999999974</v>
      </c>
      <c r="H10" s="32">
        <f aca="true" t="shared" si="3" ref="H10:H36">F10/E10*100</f>
        <v>93.43538821695469</v>
      </c>
      <c r="I10" s="110">
        <f aca="true" t="shared" si="4" ref="I10:I37">F10-D10</f>
        <v>-76475.66999999998</v>
      </c>
      <c r="J10" s="110">
        <f aca="true" t="shared" si="5" ref="J10:J36">F10/D10*100</f>
        <v>84.23861263908955</v>
      </c>
      <c r="K10" s="112">
        <v>292222.53</v>
      </c>
      <c r="L10" s="112">
        <f t="shared" si="1"/>
        <v>116510.79999999999</v>
      </c>
      <c r="M10" s="252">
        <f t="shared" si="2"/>
        <v>1.398705739766198</v>
      </c>
      <c r="N10" s="111">
        <f>E10-жовтень!E10</f>
        <v>51300</v>
      </c>
      <c r="O10" s="179">
        <f>F10-жовтень!F10</f>
        <v>29284.98000000004</v>
      </c>
      <c r="P10" s="112">
        <f aca="true" t="shared" si="6" ref="P10:P37">O10-N10</f>
        <v>-22015.01999999996</v>
      </c>
      <c r="Q10" s="198">
        <f aca="true" t="shared" si="7" ref="Q10:Q16">O10/N10*100</f>
        <v>57.08573099415213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34215.94</v>
      </c>
      <c r="G11" s="109">
        <f t="shared" si="0"/>
        <v>11301.000000000004</v>
      </c>
      <c r="H11" s="32">
        <f t="shared" si="3"/>
        <v>149.317170370073</v>
      </c>
      <c r="I11" s="110">
        <f t="shared" si="4"/>
        <v>11215.940000000002</v>
      </c>
      <c r="J11" s="110">
        <f t="shared" si="5"/>
        <v>148.76495652173912</v>
      </c>
      <c r="K11" s="112">
        <v>17520.05</v>
      </c>
      <c r="L11" s="112">
        <f t="shared" si="1"/>
        <v>16695.890000000003</v>
      </c>
      <c r="M11" s="252">
        <f t="shared" si="2"/>
        <v>1.952959038358909</v>
      </c>
      <c r="N11" s="111">
        <f>E11-жовтень!E11</f>
        <v>100</v>
      </c>
      <c r="O11" s="179">
        <f>F11-жовтень!F11</f>
        <v>1451.8400000000038</v>
      </c>
      <c r="P11" s="112">
        <f t="shared" si="6"/>
        <v>1351.8400000000038</v>
      </c>
      <c r="Q11" s="198">
        <f t="shared" si="7"/>
        <v>1451.8400000000038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9051.4</v>
      </c>
      <c r="G12" s="109">
        <f t="shared" si="0"/>
        <v>2590.79</v>
      </c>
      <c r="H12" s="32">
        <f t="shared" si="3"/>
        <v>140.10132170182072</v>
      </c>
      <c r="I12" s="110">
        <f t="shared" si="4"/>
        <v>2551.3999999999996</v>
      </c>
      <c r="J12" s="110">
        <f t="shared" si="5"/>
        <v>139.2523076923077</v>
      </c>
      <c r="K12" s="112">
        <v>4581.23</v>
      </c>
      <c r="L12" s="112">
        <f t="shared" si="1"/>
        <v>4470.17</v>
      </c>
      <c r="M12" s="252">
        <f t="shared" si="2"/>
        <v>1.9757576022159988</v>
      </c>
      <c r="N12" s="111">
        <f>E12-жовтень!E12</f>
        <v>80</v>
      </c>
      <c r="O12" s="179">
        <f>F12-жовтень!F12</f>
        <v>1074.83</v>
      </c>
      <c r="P12" s="112">
        <f t="shared" si="6"/>
        <v>994.8299999999999</v>
      </c>
      <c r="Q12" s="198">
        <f t="shared" si="7"/>
        <v>1343.5375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8696.99</v>
      </c>
      <c r="G13" s="109">
        <f t="shared" si="0"/>
        <v>-2717.8500000000004</v>
      </c>
      <c r="H13" s="32">
        <f t="shared" si="3"/>
        <v>76.19020503134516</v>
      </c>
      <c r="I13" s="110">
        <f t="shared" si="4"/>
        <v>-3703.01</v>
      </c>
      <c r="J13" s="110">
        <f t="shared" si="5"/>
        <v>70.13701612903226</v>
      </c>
      <c r="K13" s="112">
        <v>6730.35</v>
      </c>
      <c r="L13" s="112">
        <f t="shared" si="1"/>
        <v>1966.6399999999994</v>
      </c>
      <c r="M13" s="252">
        <f t="shared" si="2"/>
        <v>1.2922047144650723</v>
      </c>
      <c r="N13" s="111">
        <f>E13-жовтень!E13</f>
        <v>1100</v>
      </c>
      <c r="O13" s="179">
        <f>F13-жовтень!F13</f>
        <v>347.1999999999989</v>
      </c>
      <c r="P13" s="112">
        <f t="shared" si="6"/>
        <v>-752.8000000000011</v>
      </c>
      <c r="Q13" s="198">
        <f t="shared" si="7"/>
        <v>31.563636363636267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84387.43</v>
      </c>
      <c r="G19" s="190">
        <f t="shared" si="0"/>
        <v>-17012.97</v>
      </c>
      <c r="H19" s="197">
        <f t="shared" si="3"/>
        <v>83.22198926236976</v>
      </c>
      <c r="I19" s="198">
        <f t="shared" si="4"/>
        <v>-25512.570000000007</v>
      </c>
      <c r="J19" s="198">
        <f t="shared" si="5"/>
        <v>76.78565059144677</v>
      </c>
      <c r="K19" s="209">
        <v>65538.97</v>
      </c>
      <c r="L19" s="201">
        <f t="shared" si="1"/>
        <v>18848.459999999992</v>
      </c>
      <c r="M19" s="259">
        <f t="shared" si="2"/>
        <v>1.2875916420413684</v>
      </c>
      <c r="N19" s="197">
        <f>E19-жовтень!E19</f>
        <v>10440</v>
      </c>
      <c r="O19" s="200">
        <f>F19-жовтень!F19</f>
        <v>757</v>
      </c>
      <c r="P19" s="201">
        <f t="shared" si="6"/>
        <v>-9683</v>
      </c>
      <c r="Q19" s="198">
        <f aca="true" t="shared" si="9" ref="Q19:Q24">O19/N19*100</f>
        <v>7.25095785440613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306745.86</v>
      </c>
      <c r="G20" s="190">
        <f t="shared" si="0"/>
        <v>6045.880000000005</v>
      </c>
      <c r="H20" s="197">
        <f t="shared" si="3"/>
        <v>102.01060206256084</v>
      </c>
      <c r="I20" s="198">
        <f t="shared" si="4"/>
        <v>-9230.790000000037</v>
      </c>
      <c r="J20" s="198">
        <f t="shared" si="5"/>
        <v>97.07864805832962</v>
      </c>
      <c r="K20" s="198">
        <v>207711.81</v>
      </c>
      <c r="L20" s="201">
        <f t="shared" si="1"/>
        <v>99034.04999999999</v>
      </c>
      <c r="M20" s="254">
        <f t="shared" si="2"/>
        <v>1.4767858409206487</v>
      </c>
      <c r="N20" s="197">
        <f>N21+N30+N31+N32</f>
        <v>25593.920000000013</v>
      </c>
      <c r="O20" s="200">
        <f>F20-жовтень!F20</f>
        <v>24533.109999999986</v>
      </c>
      <c r="P20" s="201">
        <f t="shared" si="6"/>
        <v>-1060.8100000000268</v>
      </c>
      <c r="Q20" s="198">
        <f t="shared" si="9"/>
        <v>95.85522655380643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157571.59</v>
      </c>
      <c r="G21" s="190">
        <f t="shared" si="0"/>
        <v>-5391.830000000016</v>
      </c>
      <c r="H21" s="197">
        <f t="shared" si="3"/>
        <v>96.69138632461198</v>
      </c>
      <c r="I21" s="198">
        <f t="shared" si="4"/>
        <v>-17328.059999999998</v>
      </c>
      <c r="J21" s="198">
        <f t="shared" si="5"/>
        <v>90.09257022526917</v>
      </c>
      <c r="K21" s="198">
        <v>109750.31</v>
      </c>
      <c r="L21" s="201">
        <f t="shared" si="1"/>
        <v>47821.28</v>
      </c>
      <c r="M21" s="254">
        <f t="shared" si="2"/>
        <v>1.43572797197566</v>
      </c>
      <c r="N21" s="197">
        <f>N22+N25+N26</f>
        <v>13520.01000000001</v>
      </c>
      <c r="O21" s="200">
        <f>F21-жовтень!F21</f>
        <v>3915.2699999999895</v>
      </c>
      <c r="P21" s="201">
        <f t="shared" si="6"/>
        <v>-9604.74000000002</v>
      </c>
      <c r="Q21" s="198">
        <f t="shared" si="9"/>
        <v>28.95907621370093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20546.99</v>
      </c>
      <c r="G22" s="212">
        <f t="shared" si="0"/>
        <v>2822.59</v>
      </c>
      <c r="H22" s="214">
        <f t="shared" si="3"/>
        <v>115.92488321184355</v>
      </c>
      <c r="I22" s="215">
        <f t="shared" si="4"/>
        <v>2046.9900000000016</v>
      </c>
      <c r="J22" s="215">
        <f t="shared" si="5"/>
        <v>111.06481081081081</v>
      </c>
      <c r="K22" s="216">
        <v>12713.66</v>
      </c>
      <c r="L22" s="206">
        <f t="shared" si="1"/>
        <v>7833.330000000002</v>
      </c>
      <c r="M22" s="262">
        <f t="shared" si="2"/>
        <v>1.6161349288875118</v>
      </c>
      <c r="N22" s="214">
        <f>E22-жовтень!E22</f>
        <v>400</v>
      </c>
      <c r="O22" s="217">
        <f>F22-жовтень!F22</f>
        <v>325.6000000000022</v>
      </c>
      <c r="P22" s="218">
        <f t="shared" si="6"/>
        <v>-74.39999999999782</v>
      </c>
      <c r="Q22" s="215">
        <f t="shared" si="9"/>
        <v>81.40000000000055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811.16</v>
      </c>
      <c r="G23" s="241">
        <f t="shared" si="0"/>
        <v>-613.2400000000001</v>
      </c>
      <c r="H23" s="242">
        <f t="shared" si="3"/>
        <v>56.94748666105026</v>
      </c>
      <c r="I23" s="243">
        <f t="shared" si="4"/>
        <v>-1188.8400000000001</v>
      </c>
      <c r="J23" s="243">
        <f t="shared" si="5"/>
        <v>40.558</v>
      </c>
      <c r="K23" s="243">
        <v>683.67</v>
      </c>
      <c r="L23" s="243">
        <f t="shared" si="1"/>
        <v>127.49000000000001</v>
      </c>
      <c r="M23" s="413">
        <f t="shared" si="2"/>
        <v>1.1864788567583775</v>
      </c>
      <c r="N23" s="242">
        <f>E23-жовтень!E23</f>
        <v>200</v>
      </c>
      <c r="O23" s="242">
        <f>F23-жовтень!F23</f>
        <v>15.620000000000005</v>
      </c>
      <c r="P23" s="243">
        <f t="shared" si="6"/>
        <v>-184.38</v>
      </c>
      <c r="Q23" s="243">
        <f t="shared" si="9"/>
        <v>7.810000000000001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19735.83</v>
      </c>
      <c r="G24" s="241">
        <f t="shared" si="0"/>
        <v>3435.8300000000017</v>
      </c>
      <c r="H24" s="242">
        <f t="shared" si="3"/>
        <v>121.07871165644173</v>
      </c>
      <c r="I24" s="243">
        <f t="shared" si="4"/>
        <v>3235.8300000000017</v>
      </c>
      <c r="J24" s="243">
        <f t="shared" si="5"/>
        <v>119.61109090909092</v>
      </c>
      <c r="K24" s="243">
        <v>12029.99</v>
      </c>
      <c r="L24" s="243">
        <f t="shared" si="1"/>
        <v>7705.840000000002</v>
      </c>
      <c r="M24" s="413">
        <f t="shared" si="2"/>
        <v>1.640552485912291</v>
      </c>
      <c r="N24" s="242">
        <f>E24-жовтень!E24</f>
        <v>200</v>
      </c>
      <c r="O24" s="242">
        <f>F24-жовтень!F24</f>
        <v>309.9800000000032</v>
      </c>
      <c r="P24" s="243">
        <f t="shared" si="6"/>
        <v>109.9800000000032</v>
      </c>
      <c r="Q24" s="243">
        <f t="shared" si="9"/>
        <v>154.9900000000016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136214.31</v>
      </c>
      <c r="G26" s="212">
        <f t="shared" si="0"/>
        <v>-8044.670000000013</v>
      </c>
      <c r="H26" s="214">
        <f t="shared" si="3"/>
        <v>94.42345287620915</v>
      </c>
      <c r="I26" s="215">
        <f t="shared" si="4"/>
        <v>-19185.339999999997</v>
      </c>
      <c r="J26" s="215">
        <f t="shared" si="5"/>
        <v>87.654193558351</v>
      </c>
      <c r="K26" s="216">
        <v>93387.45</v>
      </c>
      <c r="L26" s="216">
        <f t="shared" si="1"/>
        <v>42826.86</v>
      </c>
      <c r="M26" s="256">
        <f t="shared" si="2"/>
        <v>1.4585933120563845</v>
      </c>
      <c r="N26" s="214">
        <f>E26-жовтень!E26</f>
        <v>13120.01000000001</v>
      </c>
      <c r="O26" s="217">
        <f>F26-жовтень!F26</f>
        <v>3589.6699999999837</v>
      </c>
      <c r="P26" s="218">
        <f t="shared" si="6"/>
        <v>-9530.340000000026</v>
      </c>
      <c r="Q26" s="215">
        <f>O26/N26*100</f>
        <v>27.360268780282798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42743.13</v>
      </c>
      <c r="G27" s="241">
        <f t="shared" si="0"/>
        <v>-1668.6700000000055</v>
      </c>
      <c r="H27" s="242">
        <f t="shared" si="3"/>
        <v>96.24273278723221</v>
      </c>
      <c r="I27" s="243">
        <f t="shared" si="4"/>
        <v>-4623.870000000003</v>
      </c>
      <c r="J27" s="243">
        <f t="shared" si="5"/>
        <v>90.23820381278105</v>
      </c>
      <c r="K27" s="243">
        <v>25267.13</v>
      </c>
      <c r="L27" s="243">
        <f t="shared" si="1"/>
        <v>17475.999999999996</v>
      </c>
      <c r="M27" s="413">
        <f t="shared" si="2"/>
        <v>1.6916495858453253</v>
      </c>
      <c r="N27" s="242">
        <f>E27-жовтень!E27</f>
        <v>4010</v>
      </c>
      <c r="O27" s="242">
        <f>F27-жовтень!F27</f>
        <v>736.8499999999985</v>
      </c>
      <c r="P27" s="243">
        <f t="shared" si="6"/>
        <v>-3273.1500000000015</v>
      </c>
      <c r="Q27" s="243">
        <f>O27/N27*100</f>
        <v>18.375311720698217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93471.18</v>
      </c>
      <c r="G28" s="241">
        <f t="shared" si="0"/>
        <v>-6375.990000000005</v>
      </c>
      <c r="H28" s="242">
        <f t="shared" si="3"/>
        <v>93.61425065928258</v>
      </c>
      <c r="I28" s="243">
        <f t="shared" si="4"/>
        <v>-14561.470000000001</v>
      </c>
      <c r="J28" s="243">
        <f t="shared" si="5"/>
        <v>86.52123223858713</v>
      </c>
      <c r="K28" s="243">
        <v>68120.32</v>
      </c>
      <c r="L28" s="243">
        <f t="shared" si="1"/>
        <v>25350.859999999986</v>
      </c>
      <c r="M28" s="413">
        <f t="shared" si="2"/>
        <v>1.3721482811589842</v>
      </c>
      <c r="N28" s="242">
        <f>E28-жовтень!E28</f>
        <v>9110</v>
      </c>
      <c r="O28" s="242">
        <f>F28-жовтень!F28</f>
        <v>2852.8199999999924</v>
      </c>
      <c r="P28" s="243">
        <f t="shared" si="6"/>
        <v>-6257.180000000008</v>
      </c>
      <c r="Q28" s="243">
        <f>O28/N28*100</f>
        <v>31.31525795828751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111.68</v>
      </c>
      <c r="G30" s="190">
        <f t="shared" si="0"/>
        <v>40.870000000000005</v>
      </c>
      <c r="H30" s="197">
        <f t="shared" si="3"/>
        <v>157.7178364637763</v>
      </c>
      <c r="I30" s="198">
        <f t="shared" si="4"/>
        <v>34.68000000000001</v>
      </c>
      <c r="J30" s="198">
        <f t="shared" si="5"/>
        <v>145.03896103896105</v>
      </c>
      <c r="K30" s="198">
        <v>74.09</v>
      </c>
      <c r="L30" s="198">
        <f t="shared" si="1"/>
        <v>37.59</v>
      </c>
      <c r="M30" s="255">
        <f>F30/K30</f>
        <v>1.5073559184775274</v>
      </c>
      <c r="N30" s="197">
        <f>E30-жовтень!E30</f>
        <v>8</v>
      </c>
      <c r="O30" s="200">
        <f>F30-жовтень!F30</f>
        <v>15.5</v>
      </c>
      <c r="P30" s="201">
        <f t="shared" si="6"/>
        <v>7.5</v>
      </c>
      <c r="Q30" s="198">
        <f>O30/N30*100</f>
        <v>193.75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149236.41</v>
      </c>
      <c r="G32" s="202">
        <f t="shared" si="0"/>
        <v>11570.660000000003</v>
      </c>
      <c r="H32" s="204">
        <f t="shared" si="3"/>
        <v>108.40489373718592</v>
      </c>
      <c r="I32" s="205">
        <f t="shared" si="4"/>
        <v>8236.410000000003</v>
      </c>
      <c r="J32" s="205">
        <f t="shared" si="5"/>
        <v>105.8414255319149</v>
      </c>
      <c r="K32" s="219">
        <v>98660.28</v>
      </c>
      <c r="L32" s="219">
        <f>F32-K32</f>
        <v>50576.130000000005</v>
      </c>
      <c r="M32" s="411">
        <f>F32/K32</f>
        <v>1.512629094504901</v>
      </c>
      <c r="N32" s="197">
        <f>E32-жовтень!E32</f>
        <v>12065.910000000003</v>
      </c>
      <c r="O32" s="200">
        <f>F32-жовтень!F32</f>
        <v>20603.240000000005</v>
      </c>
      <c r="P32" s="207">
        <f t="shared" si="6"/>
        <v>8537.330000000002</v>
      </c>
      <c r="Q32" s="205">
        <f>O32/N32*100</f>
        <v>170.75579048741454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36958.1</v>
      </c>
      <c r="G34" s="109">
        <f t="shared" si="0"/>
        <v>3695.1299999999974</v>
      </c>
      <c r="H34" s="111">
        <f t="shared" si="3"/>
        <v>111.10883964961637</v>
      </c>
      <c r="I34" s="110">
        <f t="shared" si="4"/>
        <v>2741.0999999999985</v>
      </c>
      <c r="J34" s="110">
        <f t="shared" si="5"/>
        <v>108.0109302393547</v>
      </c>
      <c r="K34" s="142">
        <v>23706.55</v>
      </c>
      <c r="L34" s="142">
        <f t="shared" si="1"/>
        <v>13251.55</v>
      </c>
      <c r="M34" s="264">
        <f t="shared" si="10"/>
        <v>1.5589826440371966</v>
      </c>
      <c r="N34" s="111">
        <f>E34-жовтень!E34</f>
        <v>2600</v>
      </c>
      <c r="O34" s="179">
        <f>F34-жовтень!F34</f>
        <v>5382.059999999998</v>
      </c>
      <c r="P34" s="112">
        <f t="shared" si="6"/>
        <v>2782.0599999999977</v>
      </c>
      <c r="Q34" s="110">
        <f>O34/N34*100</f>
        <v>207.0023076923076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112224.99</v>
      </c>
      <c r="G35" s="109">
        <f t="shared" si="0"/>
        <v>7873.210000000006</v>
      </c>
      <c r="H35" s="111">
        <f t="shared" si="3"/>
        <v>107.54487369549423</v>
      </c>
      <c r="I35" s="110">
        <f t="shared" si="4"/>
        <v>5492.990000000005</v>
      </c>
      <c r="J35" s="110">
        <f t="shared" si="5"/>
        <v>105.14652587789979</v>
      </c>
      <c r="K35" s="142">
        <v>74922.37</v>
      </c>
      <c r="L35" s="142">
        <f t="shared" si="1"/>
        <v>37302.62000000001</v>
      </c>
      <c r="M35" s="264">
        <f t="shared" si="10"/>
        <v>1.4978836093946308</v>
      </c>
      <c r="N35" s="111">
        <f>E35-жовтень!E35</f>
        <v>9431.699999999997</v>
      </c>
      <c r="O35" s="179">
        <f>F35-жовтень!F35</f>
        <v>15221.169999999998</v>
      </c>
      <c r="P35" s="112">
        <f t="shared" si="6"/>
        <v>5789.470000000001</v>
      </c>
      <c r="Q35" s="110">
        <f>O35/N35*100</f>
        <v>161.38310166777995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60605.700000000004</v>
      </c>
      <c r="G38" s="191">
        <f>G39+G40+G41+G42+G43+G45+G47+G48+G49+G50+G51+G56+G57+G61</f>
        <v>1357.120000000001</v>
      </c>
      <c r="H38" s="192">
        <f>F38/E38*100</f>
        <v>102.4021175982778</v>
      </c>
      <c r="I38" s="193">
        <f>F38-D38</f>
        <v>-1236.7799999999988</v>
      </c>
      <c r="J38" s="193">
        <f>F38/D38*100</f>
        <v>98.00011254399888</v>
      </c>
      <c r="K38" s="191">
        <v>41741.88</v>
      </c>
      <c r="L38" s="191">
        <f t="shared" si="1"/>
        <v>18863.820000000007</v>
      </c>
      <c r="M38" s="250">
        <f t="shared" si="10"/>
        <v>1.4519159175389322</v>
      </c>
      <c r="N38" s="191">
        <f>N39+N40+N41+N42+N43+N45+N47+N48+N49+N50+N51+N56+N57+N61+N44</f>
        <v>3889</v>
      </c>
      <c r="O38" s="191">
        <f>O39+O40+O41+O42+O43+O45+O47+O48+O49+O50+O51+O56+O57+O61+O44</f>
        <v>5587.970000000002</v>
      </c>
      <c r="P38" s="191">
        <f>P39+P40+P41+P42+P43+P45+P47+P48+P49+P50+P51+P56+P57+P61</f>
        <v>1668.370000000002</v>
      </c>
      <c r="Q38" s="191">
        <f>O38/N38*100</f>
        <v>143.68655181280542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221.04</v>
      </c>
      <c r="G43" s="202">
        <f t="shared" si="13"/>
        <v>111.03999999999999</v>
      </c>
      <c r="H43" s="204">
        <f t="shared" si="11"/>
        <v>200.94545454545454</v>
      </c>
      <c r="I43" s="205">
        <f t="shared" si="14"/>
        <v>71.03999999999999</v>
      </c>
      <c r="J43" s="205">
        <f t="shared" si="16"/>
        <v>147.36</v>
      </c>
      <c r="K43" s="205">
        <v>267.84</v>
      </c>
      <c r="L43" s="205">
        <f t="shared" si="1"/>
        <v>-46.79999999999998</v>
      </c>
      <c r="M43" s="266">
        <f t="shared" si="17"/>
        <v>0.8252688172043011</v>
      </c>
      <c r="N43" s="204">
        <f>E43-жовтень!E43</f>
        <v>10</v>
      </c>
      <c r="O43" s="208">
        <f>F43-жовтень!F43</f>
        <v>13.359999999999985</v>
      </c>
      <c r="P43" s="207">
        <f t="shared" si="15"/>
        <v>3.359999999999985</v>
      </c>
      <c r="Q43" s="205">
        <f t="shared" si="12"/>
        <v>133.59999999999985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78.55</v>
      </c>
      <c r="G44" s="202">
        <f t="shared" si="13"/>
        <v>64.55</v>
      </c>
      <c r="H44" s="204"/>
      <c r="I44" s="205">
        <f t="shared" si="14"/>
        <v>64.55</v>
      </c>
      <c r="J44" s="205"/>
      <c r="K44" s="205">
        <v>0</v>
      </c>
      <c r="L44" s="205">
        <f t="shared" si="1"/>
        <v>78.55</v>
      </c>
      <c r="M44" s="266"/>
      <c r="N44" s="204">
        <f>E44-жовтень!E44</f>
        <v>0</v>
      </c>
      <c r="O44" s="208">
        <f>F44-жовтень!F44</f>
        <v>30.599999999999994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605.59</v>
      </c>
      <c r="G45" s="202">
        <f t="shared" si="13"/>
        <v>315.59000000000003</v>
      </c>
      <c r="H45" s="204">
        <f t="shared" si="11"/>
        <v>208.8241379310345</v>
      </c>
      <c r="I45" s="205">
        <f t="shared" si="14"/>
        <v>305.59000000000003</v>
      </c>
      <c r="J45" s="205">
        <f t="shared" si="16"/>
        <v>201.86333333333332</v>
      </c>
      <c r="K45" s="205">
        <v>0</v>
      </c>
      <c r="L45" s="205">
        <f t="shared" si="1"/>
        <v>605.59</v>
      </c>
      <c r="M45" s="266"/>
      <c r="N45" s="204">
        <f>E45-жовтень!E45</f>
        <v>18</v>
      </c>
      <c r="O45" s="208">
        <f>F45-жовтень!F45</f>
        <v>74.57000000000005</v>
      </c>
      <c r="P45" s="207">
        <f t="shared" si="15"/>
        <v>56.57000000000005</v>
      </c>
      <c r="Q45" s="205">
        <f t="shared" si="12"/>
        <v>414.27777777777806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9859.72</v>
      </c>
      <c r="G47" s="202">
        <f t="shared" si="13"/>
        <v>310.6999999999989</v>
      </c>
      <c r="H47" s="204">
        <f t="shared" si="11"/>
        <v>103.25373703270073</v>
      </c>
      <c r="I47" s="205">
        <f t="shared" si="14"/>
        <v>-40.280000000000655</v>
      </c>
      <c r="J47" s="205">
        <f t="shared" si="16"/>
        <v>99.59313131313131</v>
      </c>
      <c r="K47" s="205">
        <v>8884.54</v>
      </c>
      <c r="L47" s="205">
        <f t="shared" si="1"/>
        <v>975.1799999999985</v>
      </c>
      <c r="M47" s="266">
        <f t="shared" si="17"/>
        <v>1.1097614507897988</v>
      </c>
      <c r="N47" s="204">
        <f>E47-жовтень!E47</f>
        <v>800</v>
      </c>
      <c r="O47" s="208">
        <f>F47-жовтень!F47</f>
        <v>983.4799999999996</v>
      </c>
      <c r="P47" s="207">
        <f t="shared" si="15"/>
        <v>183.47999999999956</v>
      </c>
      <c r="Q47" s="205">
        <f t="shared" si="12"/>
        <v>122.93499999999995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269.26</v>
      </c>
      <c r="G48" s="202">
        <f t="shared" si="13"/>
        <v>-380.74</v>
      </c>
      <c r="H48" s="204">
        <f t="shared" si="11"/>
        <v>41.42461538461538</v>
      </c>
      <c r="I48" s="205">
        <f t="shared" si="14"/>
        <v>-380.74</v>
      </c>
      <c r="J48" s="205">
        <f t="shared" si="16"/>
        <v>41.42461538461538</v>
      </c>
      <c r="K48" s="205">
        <v>0</v>
      </c>
      <c r="L48" s="205">
        <f t="shared" si="1"/>
        <v>269.26</v>
      </c>
      <c r="M48" s="266"/>
      <c r="N48" s="204">
        <f>E48-жовтень!E48</f>
        <v>0</v>
      </c>
      <c r="O48" s="208">
        <f>F48-жовтень!F48</f>
        <v>22.72999999999999</v>
      </c>
      <c r="P48" s="207">
        <f t="shared" si="15"/>
        <v>22.72999999999999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5075.68</v>
      </c>
      <c r="G51" s="202">
        <f t="shared" si="13"/>
        <v>-1025.5099999999993</v>
      </c>
      <c r="H51" s="204">
        <f t="shared" si="11"/>
        <v>83.19163966373773</v>
      </c>
      <c r="I51" s="205">
        <f t="shared" si="14"/>
        <v>-1924.3599999999997</v>
      </c>
      <c r="J51" s="205">
        <f t="shared" si="16"/>
        <v>72.50929994685745</v>
      </c>
      <c r="K51" s="205">
        <v>6761.32</v>
      </c>
      <c r="L51" s="205">
        <f t="shared" si="1"/>
        <v>-1685.6399999999994</v>
      </c>
      <c r="M51" s="266">
        <f t="shared" si="17"/>
        <v>0.750693651535499</v>
      </c>
      <c r="N51" s="204">
        <f>E51-жовтень!E51</f>
        <v>635</v>
      </c>
      <c r="O51" s="208">
        <f>F51-жовтень!F51</f>
        <v>65.15000000000055</v>
      </c>
      <c r="P51" s="207">
        <f t="shared" si="15"/>
        <v>-569.8499999999995</v>
      </c>
      <c r="Q51" s="205">
        <f t="shared" si="12"/>
        <v>10.259842519685126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760.12</v>
      </c>
      <c r="G52" s="36">
        <f t="shared" si="13"/>
        <v>-113.87</v>
      </c>
      <c r="H52" s="32">
        <f t="shared" si="11"/>
        <v>86.97124681060424</v>
      </c>
      <c r="I52" s="110">
        <f t="shared" si="14"/>
        <v>-209.88</v>
      </c>
      <c r="J52" s="110">
        <f t="shared" si="16"/>
        <v>78.36288659793814</v>
      </c>
      <c r="K52" s="110">
        <v>1017.62</v>
      </c>
      <c r="L52" s="110">
        <f>F52-K52</f>
        <v>-257.5</v>
      </c>
      <c r="M52" s="115">
        <f t="shared" si="17"/>
        <v>0.7469585896503607</v>
      </c>
      <c r="N52" s="111">
        <f>E52-жовтень!E52</f>
        <v>135</v>
      </c>
      <c r="O52" s="179">
        <f>F52-жовтень!F52</f>
        <v>57.82000000000005</v>
      </c>
      <c r="P52" s="112">
        <f t="shared" si="15"/>
        <v>-77.17999999999995</v>
      </c>
      <c r="Q52" s="132">
        <f t="shared" si="12"/>
        <v>42.829629629629665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4315.26</v>
      </c>
      <c r="G55" s="36">
        <f t="shared" si="13"/>
        <v>-906.9099999999999</v>
      </c>
      <c r="H55" s="32">
        <f t="shared" si="11"/>
        <v>82.63346463251867</v>
      </c>
      <c r="I55" s="110">
        <f t="shared" si="14"/>
        <v>-1708.7399999999998</v>
      </c>
      <c r="J55" s="110">
        <f t="shared" si="16"/>
        <v>71.63446215139443</v>
      </c>
      <c r="K55" s="110">
        <v>5698.8</v>
      </c>
      <c r="L55" s="110">
        <f>F55-K55</f>
        <v>-1383.54</v>
      </c>
      <c r="M55" s="115">
        <f t="shared" si="17"/>
        <v>0.7572225731732997</v>
      </c>
      <c r="N55" s="111">
        <f>E55-жовтень!E55</f>
        <v>500</v>
      </c>
      <c r="O55" s="179">
        <f>F55-жовтень!F55</f>
        <v>7.3400000000001455</v>
      </c>
      <c r="P55" s="112">
        <f t="shared" si="15"/>
        <v>-492.65999999999985</v>
      </c>
      <c r="Q55" s="132">
        <f t="shared" si="12"/>
        <v>1.4680000000000293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5918.2</v>
      </c>
      <c r="G57" s="202">
        <f t="shared" si="13"/>
        <v>780.2200000000003</v>
      </c>
      <c r="H57" s="204">
        <f t="shared" si="11"/>
        <v>115.18534521348857</v>
      </c>
      <c r="I57" s="205">
        <f t="shared" si="14"/>
        <v>768.1999999999998</v>
      </c>
      <c r="J57" s="205">
        <f t="shared" si="16"/>
        <v>114.91650485436892</v>
      </c>
      <c r="K57" s="205">
        <v>4367.82</v>
      </c>
      <c r="L57" s="205">
        <f aca="true" t="shared" si="18" ref="L57:L63">F57-K57</f>
        <v>1550.38</v>
      </c>
      <c r="M57" s="266">
        <f t="shared" si="17"/>
        <v>1.3549551034612233</v>
      </c>
      <c r="N57" s="204">
        <f>E57-жовтень!E57</f>
        <v>60</v>
      </c>
      <c r="O57" s="208">
        <f>F57-жовтень!F57</f>
        <v>379.7399999999998</v>
      </c>
      <c r="P57" s="207">
        <f t="shared" si="15"/>
        <v>319.7399999999998</v>
      </c>
      <c r="Q57" s="205">
        <f t="shared" si="12"/>
        <v>632.8999999999996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1244.32</v>
      </c>
      <c r="G59" s="202"/>
      <c r="H59" s="204"/>
      <c r="I59" s="205"/>
      <c r="J59" s="205"/>
      <c r="K59" s="206">
        <v>1141.97</v>
      </c>
      <c r="L59" s="205">
        <f t="shared" si="18"/>
        <v>102.34999999999991</v>
      </c>
      <c r="M59" s="266">
        <f t="shared" si="17"/>
        <v>1.0896258220443618</v>
      </c>
      <c r="N59" s="204"/>
      <c r="O59" s="220">
        <f>F59-жовтень!F59</f>
        <v>107.45000000000005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915952.3300000001</v>
      </c>
      <c r="G64" s="191">
        <f>F64-E64</f>
        <v>-27677.449999999837</v>
      </c>
      <c r="H64" s="192">
        <f>F64/E64*100</f>
        <v>97.06691643411256</v>
      </c>
      <c r="I64" s="193">
        <f>F64-D64</f>
        <v>-102992.40000000002</v>
      </c>
      <c r="J64" s="193">
        <f>F64/D64*100</f>
        <v>89.89224862078633</v>
      </c>
      <c r="K64" s="193">
        <v>650580.27</v>
      </c>
      <c r="L64" s="193">
        <f>F64-K64</f>
        <v>265372.06000000006</v>
      </c>
      <c r="M64" s="267">
        <f>F64/K64</f>
        <v>1.4079005654444456</v>
      </c>
      <c r="N64" s="191">
        <f>N8+N38+N62+N63</f>
        <v>92637.22000000002</v>
      </c>
      <c r="O64" s="191">
        <f>O8+O38+O62+O63</f>
        <v>63301.30000000002</v>
      </c>
      <c r="P64" s="195">
        <f>O64-N64</f>
        <v>-29335.92</v>
      </c>
      <c r="Q64" s="193">
        <f>O64/N64*100</f>
        <v>68.33246938973342</v>
      </c>
      <c r="R64" s="28">
        <f>O64-34768</f>
        <v>28533.300000000017</v>
      </c>
      <c r="S64" s="128">
        <f>O64/34768</f>
        <v>1.8206770593649337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2218.96</v>
      </c>
      <c r="G73" s="202">
        <f aca="true" t="shared" si="19" ref="G73:G83">F73-E73</f>
        <v>-1981.04</v>
      </c>
      <c r="H73" s="204"/>
      <c r="I73" s="207">
        <f aca="true" t="shared" si="20" ref="I73:I83">F73-D73</f>
        <v>-12981.04</v>
      </c>
      <c r="J73" s="207">
        <f>F73/D73*100</f>
        <v>14.59842105263158</v>
      </c>
      <c r="K73" s="207">
        <v>619</v>
      </c>
      <c r="L73" s="207">
        <f aca="true" t="shared" si="21" ref="L73:L83">F73-K73</f>
        <v>1599.96</v>
      </c>
      <c r="M73" s="254">
        <f>F73/K73</f>
        <v>3.5847495961227787</v>
      </c>
      <c r="N73" s="204">
        <f>E73-жовтень!E73</f>
        <v>1500</v>
      </c>
      <c r="O73" s="208">
        <f>F73-жовтень!F73</f>
        <v>166.76000000000022</v>
      </c>
      <c r="P73" s="207">
        <f aca="true" t="shared" si="22" ref="P73:P86">O73-N73</f>
        <v>-1333.2399999999998</v>
      </c>
      <c r="Q73" s="207">
        <f>O73/N73*100</f>
        <v>11.117333333333349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12289.41</v>
      </c>
      <c r="G75" s="202">
        <f t="shared" si="19"/>
        <v>3788.5599999999995</v>
      </c>
      <c r="H75" s="204">
        <f>F75/E75*100</f>
        <v>144.56683743390366</v>
      </c>
      <c r="I75" s="207">
        <f t="shared" si="20"/>
        <v>-3710.59</v>
      </c>
      <c r="J75" s="207">
        <f>F75/D75*100</f>
        <v>76.8088125</v>
      </c>
      <c r="K75" s="207">
        <v>2292.73</v>
      </c>
      <c r="L75" s="207">
        <f t="shared" si="21"/>
        <v>9996.68</v>
      </c>
      <c r="M75" s="254">
        <f>F75/K75</f>
        <v>5.360164520026344</v>
      </c>
      <c r="N75" s="204">
        <f>E75-жовтень!E75</f>
        <v>5500</v>
      </c>
      <c r="O75" s="208">
        <f>F75-жовтень!F75</f>
        <v>42.659999999999854</v>
      </c>
      <c r="P75" s="207">
        <f t="shared" si="22"/>
        <v>-5457.34</v>
      </c>
      <c r="Q75" s="207">
        <f>O75/N75*100</f>
        <v>0.775636363636361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21761.87</v>
      </c>
      <c r="G77" s="226">
        <f t="shared" si="19"/>
        <v>-1204.2900000000045</v>
      </c>
      <c r="H77" s="227">
        <f>F77/E77*100</f>
        <v>94.75624135684849</v>
      </c>
      <c r="I77" s="228">
        <f t="shared" si="20"/>
        <v>-26609.13</v>
      </c>
      <c r="J77" s="228">
        <f>F77/D77*100</f>
        <v>44.98949783961464</v>
      </c>
      <c r="K77" s="228">
        <v>11124.73</v>
      </c>
      <c r="L77" s="228">
        <f t="shared" si="21"/>
        <v>10637.14</v>
      </c>
      <c r="M77" s="260">
        <f>F77/K77</f>
        <v>1.9561706216690202</v>
      </c>
      <c r="N77" s="226">
        <f>N73+N74+N75+N76</f>
        <v>12102.400000000001</v>
      </c>
      <c r="O77" s="230">
        <f>O73+O74+O75+O76</f>
        <v>210.42000000000007</v>
      </c>
      <c r="P77" s="228">
        <f t="shared" si="22"/>
        <v>-11891.980000000001</v>
      </c>
      <c r="Q77" s="228">
        <f>O77/N77*100</f>
        <v>1.7386634056055001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8350.61</v>
      </c>
      <c r="G80" s="202">
        <f t="shared" si="19"/>
        <v>-1148.0900000000001</v>
      </c>
      <c r="H80" s="204">
        <f>F80/E80*100</f>
        <v>87.91318812047965</v>
      </c>
      <c r="I80" s="207">
        <f t="shared" si="20"/>
        <v>-1149.3899999999994</v>
      </c>
      <c r="J80" s="207">
        <f>F80/D80*100</f>
        <v>87.90115789473685</v>
      </c>
      <c r="K80" s="207">
        <v>0</v>
      </c>
      <c r="L80" s="207">
        <f t="shared" si="21"/>
        <v>8350.61</v>
      </c>
      <c r="M80" s="254"/>
      <c r="N80" s="204">
        <f>E80-жовтень!E80</f>
        <v>1873.4000000000005</v>
      </c>
      <c r="O80" s="208">
        <f>F80-жовтень!F80</f>
        <v>1514.5400000000009</v>
      </c>
      <c r="P80" s="207">
        <f>O80-N80</f>
        <v>-358.8599999999997</v>
      </c>
      <c r="Q80" s="231">
        <f>O80/N80*100</f>
        <v>80.84445393402372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1.36</v>
      </c>
      <c r="G81" s="202">
        <f t="shared" si="19"/>
        <v>1.36</v>
      </c>
      <c r="H81" s="204"/>
      <c r="I81" s="207">
        <f t="shared" si="20"/>
        <v>1.36</v>
      </c>
      <c r="J81" s="207"/>
      <c r="K81" s="207">
        <v>1.31</v>
      </c>
      <c r="L81" s="207">
        <f t="shared" si="21"/>
        <v>0.050000000000000044</v>
      </c>
      <c r="M81" s="254">
        <f>F81/K81</f>
        <v>1.0381679389312977</v>
      </c>
      <c r="N81" s="204">
        <f>E81-жовтень!E81</f>
        <v>0</v>
      </c>
      <c r="O81" s="208">
        <f>F81-жовтень!F81</f>
        <v>0.020000000000000018</v>
      </c>
      <c r="P81" s="207">
        <f t="shared" si="22"/>
        <v>0.020000000000000018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8405.91</v>
      </c>
      <c r="G82" s="224">
        <f>G78+G81+G79+G80</f>
        <v>-1092.7900000000002</v>
      </c>
      <c r="H82" s="227">
        <f>F82/E82*100</f>
        <v>88.49537305104909</v>
      </c>
      <c r="I82" s="228">
        <f t="shared" si="20"/>
        <v>-1095.0900000000001</v>
      </c>
      <c r="J82" s="228">
        <f>F82/D82*100</f>
        <v>88.47395011051468</v>
      </c>
      <c r="K82" s="228">
        <v>1.66</v>
      </c>
      <c r="L82" s="228">
        <f t="shared" si="21"/>
        <v>8404.25</v>
      </c>
      <c r="M82" s="268">
        <f>F82/K82</f>
        <v>5063.801204819278</v>
      </c>
      <c r="N82" s="226">
        <f>N78+N81+N79+N80</f>
        <v>1873.4000000000005</v>
      </c>
      <c r="O82" s="230">
        <f>O78+O81+O79+O80</f>
        <v>1532.5500000000009</v>
      </c>
      <c r="P82" s="226">
        <f>P78+P81+P79+P80</f>
        <v>-340.8499999999997</v>
      </c>
      <c r="Q82" s="228">
        <f>O82/N82*100</f>
        <v>81.80580762250456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30185.07</v>
      </c>
      <c r="G85" s="233">
        <f>F85-E85</f>
        <v>-2310.150000000005</v>
      </c>
      <c r="H85" s="234">
        <f>F85/E85*100</f>
        <v>92.89080055466617</v>
      </c>
      <c r="I85" s="235">
        <f>F85-D85</f>
        <v>-27729.93</v>
      </c>
      <c r="J85" s="235">
        <f>F85/D85*100</f>
        <v>52.11960631960631</v>
      </c>
      <c r="K85" s="235">
        <v>11101.47</v>
      </c>
      <c r="L85" s="235">
        <f>F85-K85</f>
        <v>19083.6</v>
      </c>
      <c r="M85" s="269">
        <f>F85/K85</f>
        <v>2.7190155898272934</v>
      </c>
      <c r="N85" s="232">
        <f>N71+N83+N77+N82</f>
        <v>13976.390000000003</v>
      </c>
      <c r="O85" s="232">
        <f>O71+O83+O77+O82+O84</f>
        <v>1742.970000000001</v>
      </c>
      <c r="P85" s="235">
        <f t="shared" si="22"/>
        <v>-12233.420000000002</v>
      </c>
      <c r="Q85" s="235">
        <f>O85/N85*100</f>
        <v>12.470816856140967</v>
      </c>
      <c r="R85" s="28">
        <f>O85-8104.96</f>
        <v>-6361.989999999999</v>
      </c>
      <c r="S85" s="101">
        <f>O85/8104.96</f>
        <v>0.21504979666771964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946137.4</v>
      </c>
      <c r="G86" s="233">
        <f>F86-E86</f>
        <v>-29987.59999999986</v>
      </c>
      <c r="H86" s="234">
        <f>F86/E86*100</f>
        <v>96.92789345626842</v>
      </c>
      <c r="I86" s="235">
        <f>F86-D86</f>
        <v>-130722.32999999996</v>
      </c>
      <c r="J86" s="235">
        <f>F86/D86*100</f>
        <v>87.86078387386628</v>
      </c>
      <c r="K86" s="235">
        <f>K64+K85</f>
        <v>661681.74</v>
      </c>
      <c r="L86" s="235">
        <f>F86-K86</f>
        <v>284455.66000000003</v>
      </c>
      <c r="M86" s="269">
        <f>F86/K86</f>
        <v>1.4298980050439356</v>
      </c>
      <c r="N86" s="233">
        <f>N64+N85</f>
        <v>106613.61000000002</v>
      </c>
      <c r="O86" s="233">
        <f>O64+O85</f>
        <v>65044.27000000002</v>
      </c>
      <c r="P86" s="235">
        <f t="shared" si="22"/>
        <v>-41569.34</v>
      </c>
      <c r="Q86" s="235">
        <f>O86/N86*100</f>
        <v>61.009349556777984</v>
      </c>
      <c r="R86" s="28">
        <f>O86-42872.96</f>
        <v>22171.31000000002</v>
      </c>
      <c r="S86" s="101">
        <f>O86/42872.96</f>
        <v>1.517139707638568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6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4889.32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42696</v>
      </c>
      <c r="D90" s="31">
        <v>3437.1</v>
      </c>
      <c r="G90" s="4" t="s">
        <v>59</v>
      </c>
      <c r="O90" s="424"/>
      <c r="P90" s="424"/>
      <c r="T90" s="186">
        <f t="shared" si="23"/>
        <v>3437.1</v>
      </c>
    </row>
    <row r="91" spans="3:16" ht="15">
      <c r="C91" s="87">
        <v>42695</v>
      </c>
      <c r="D91" s="31">
        <v>3610.14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42692</v>
      </c>
      <c r="D92" s="31">
        <v>5862.8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16.66667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894.01</v>
      </c>
      <c r="G97" s="73">
        <f>G45+G48+G49</f>
        <v>-85.98999999999998</v>
      </c>
      <c r="H97" s="74"/>
      <c r="I97" s="74"/>
      <c r="N97" s="31">
        <f>N45+N48+N49</f>
        <v>22</v>
      </c>
      <c r="O97" s="246">
        <f>O45+O48+O49</f>
        <v>99.50000000000004</v>
      </c>
      <c r="P97" s="31">
        <f>P45+P48+P49</f>
        <v>77.50000000000004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855900.3999999999</v>
      </c>
      <c r="G99" s="31">
        <f>F99-E99</f>
        <v>-28943.52000000002</v>
      </c>
      <c r="H99" s="415">
        <f>F99/E99</f>
        <v>0.9672896887848876</v>
      </c>
      <c r="I99" s="31">
        <f>F99-D99</f>
        <v>-101611.85000000021</v>
      </c>
      <c r="J99" s="415">
        <f>F99/D99</f>
        <v>0.8938793211261786</v>
      </c>
      <c r="N99" s="31">
        <f>N9+N15+N17+N18+N19+N20+N39+N42+N44+N56+N62+N63</f>
        <v>88760.22000000002</v>
      </c>
      <c r="O99" s="414">
        <f>O9+O15+O17+O18+O19+O20+O39+O42+O44+O56+O62+O63</f>
        <v>57810.31000000001</v>
      </c>
      <c r="P99" s="31">
        <f>O99-N99</f>
        <v>-30949.910000000003</v>
      </c>
      <c r="Q99" s="415">
        <f>O99/N99</f>
        <v>0.6513087732319727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60051.93000000001</v>
      </c>
      <c r="G100" s="31">
        <f>G40+G41+G43+G45+G47+G48+G49+G50+G51+G57+G61+G44</f>
        <v>1266.070000000001</v>
      </c>
      <c r="H100" s="415">
        <f>F100/E100</f>
        <v>1.0215369818524387</v>
      </c>
      <c r="I100" s="31">
        <f>I40+I41+I43+I45+I47+I48+I49+I50+I51+I57+I61+I44</f>
        <v>-1380.5499999999997</v>
      </c>
      <c r="J100" s="415">
        <f>F100/D100</f>
        <v>0.9775273601195981</v>
      </c>
      <c r="K100" s="31">
        <f aca="true" t="shared" si="24" ref="K100:P100">K40+K41+K43+K45+K47+K48+K49+K50+K51+K57+K61+K44</f>
        <v>41736.590000000004</v>
      </c>
      <c r="L100" s="31">
        <f t="shared" si="24"/>
        <v>18315.339999999997</v>
      </c>
      <c r="M100" s="31">
        <f t="shared" si="24"/>
        <v>12.874768952053127</v>
      </c>
      <c r="N100" s="31">
        <f t="shared" si="24"/>
        <v>3877</v>
      </c>
      <c r="O100" s="414">
        <f t="shared" si="24"/>
        <v>5521.590000000002</v>
      </c>
      <c r="P100" s="31">
        <f t="shared" si="24"/>
        <v>1613.9900000000018</v>
      </c>
      <c r="Q100" s="415">
        <f>O100/N100</f>
        <v>1.4241913850915662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915952.33</v>
      </c>
      <c r="G101" s="31">
        <f t="shared" si="25"/>
        <v>-27677.45000000002</v>
      </c>
      <c r="H101" s="415">
        <f>F101/E101</f>
        <v>0.9706691643411255</v>
      </c>
      <c r="I101" s="31">
        <f t="shared" si="25"/>
        <v>-102992.40000000021</v>
      </c>
      <c r="J101" s="415">
        <f>F101/D101</f>
        <v>0.8989224862078632</v>
      </c>
      <c r="K101" s="31">
        <f t="shared" si="25"/>
        <v>41736.590000000004</v>
      </c>
      <c r="L101" s="31">
        <f t="shared" si="25"/>
        <v>18315.339999999997</v>
      </c>
      <c r="M101" s="31">
        <f t="shared" si="25"/>
        <v>12.874768952053127</v>
      </c>
      <c r="N101" s="31">
        <f t="shared" si="25"/>
        <v>92637.22000000002</v>
      </c>
      <c r="O101" s="414">
        <f t="shared" si="25"/>
        <v>63331.900000000016</v>
      </c>
      <c r="P101" s="31">
        <f t="shared" si="25"/>
        <v>-29335.920000000002</v>
      </c>
      <c r="Q101" s="415">
        <f>O101/N101</f>
        <v>0.6836550146906395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1.8189894035458565E-10</v>
      </c>
      <c r="H102" s="415"/>
      <c r="I102" s="31">
        <f t="shared" si="26"/>
        <v>1.8917489796876907E-10</v>
      </c>
      <c r="J102" s="415"/>
      <c r="K102" s="31">
        <f t="shared" si="26"/>
        <v>608843.68</v>
      </c>
      <c r="L102" s="31">
        <f t="shared" si="26"/>
        <v>247056.72000000006</v>
      </c>
      <c r="M102" s="31">
        <f t="shared" si="26"/>
        <v>-11.466868386608681</v>
      </c>
      <c r="N102" s="31">
        <f t="shared" si="26"/>
        <v>0</v>
      </c>
      <c r="O102" s="31">
        <f t="shared" si="26"/>
        <v>-30.599999999998545</v>
      </c>
      <c r="P102" s="31">
        <f t="shared" si="26"/>
        <v>0</v>
      </c>
      <c r="Q102" s="31"/>
      <c r="R102" s="31">
        <f t="shared" si="26"/>
        <v>28533.300000000017</v>
      </c>
      <c r="S102" s="31">
        <f t="shared" si="26"/>
        <v>1.8206770593649337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2" sqref="B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16.66667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2016-11-23T10:07:39Z</cp:lastPrinted>
  <dcterms:created xsi:type="dcterms:W3CDTF">2003-07-28T11:27:56Z</dcterms:created>
  <dcterms:modified xsi:type="dcterms:W3CDTF">2016-11-23T10:20:16Z</dcterms:modified>
  <cp:category/>
  <cp:version/>
  <cp:contentType/>
  <cp:contentStatus/>
</cp:coreProperties>
</file>